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140" windowHeight="6900"/>
  </bookViews>
  <sheets>
    <sheet name="budget (11)" sheetId="1" r:id="rId1"/>
    <sheet name="Ark1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6" i="1" l="1"/>
  <c r="D36" i="1"/>
  <c r="C36" i="1"/>
  <c r="G26" i="1" l="1"/>
  <c r="H26" i="1"/>
  <c r="F18" i="1" l="1"/>
  <c r="G59" i="1"/>
  <c r="G55" i="1"/>
  <c r="G50" i="1"/>
  <c r="G42" i="1"/>
  <c r="D30" i="1"/>
  <c r="E58" i="1"/>
  <c r="E57" i="1"/>
  <c r="E12" i="1"/>
  <c r="E14" i="1"/>
  <c r="E54" i="1"/>
  <c r="E52" i="1"/>
  <c r="E49" i="1"/>
  <c r="E48" i="1"/>
  <c r="E47" i="1"/>
  <c r="E46" i="1"/>
  <c r="E45" i="1"/>
  <c r="E44" i="1"/>
  <c r="E41" i="1"/>
  <c r="E40" i="1"/>
  <c r="E29" i="1"/>
  <c r="E25" i="1"/>
  <c r="E26" i="1" s="1"/>
  <c r="E21" i="1"/>
  <c r="E23" i="1" s="1"/>
  <c r="E17" i="1"/>
  <c r="E16" i="1"/>
  <c r="E11" i="1"/>
  <c r="D14" i="1"/>
  <c r="D12" i="1"/>
  <c r="D58" i="1"/>
  <c r="D57" i="1"/>
  <c r="D54" i="1"/>
  <c r="D52" i="1"/>
  <c r="D49" i="1"/>
  <c r="D48" i="1"/>
  <c r="D47" i="1"/>
  <c r="D46" i="1"/>
  <c r="D45" i="1"/>
  <c r="D44" i="1"/>
  <c r="D41" i="1"/>
  <c r="D40" i="1"/>
  <c r="D29" i="1"/>
  <c r="D21" i="1"/>
  <c r="D23" i="1" s="1"/>
  <c r="D25" i="1"/>
  <c r="D26" i="1" s="1"/>
  <c r="D16" i="1"/>
  <c r="D11" i="1"/>
  <c r="C21" i="1"/>
  <c r="C23" i="1" s="1"/>
  <c r="C58" i="1"/>
  <c r="C57" i="1"/>
  <c r="C54" i="1"/>
  <c r="C12" i="1"/>
  <c r="C52" i="1"/>
  <c r="C49" i="1"/>
  <c r="C48" i="1"/>
  <c r="C47" i="1"/>
  <c r="C46" i="1"/>
  <c r="C45" i="1"/>
  <c r="C44" i="1"/>
  <c r="C41" i="1"/>
  <c r="C40" i="1"/>
  <c r="C30" i="1"/>
  <c r="C33" i="1"/>
  <c r="C29" i="1"/>
  <c r="C25" i="1"/>
  <c r="C26" i="1" s="1"/>
  <c r="C17" i="1"/>
  <c r="C16" i="1"/>
  <c r="C14" i="1"/>
  <c r="C11" i="1"/>
  <c r="F98" i="1"/>
  <c r="F88" i="1"/>
  <c r="F85" i="1"/>
  <c r="F30" i="1"/>
  <c r="F13" i="1"/>
  <c r="G23" i="1"/>
  <c r="F12" i="1"/>
  <c r="F14" i="1"/>
  <c r="F58" i="1"/>
  <c r="F50" i="1"/>
  <c r="F33" i="1"/>
  <c r="F22" i="1"/>
  <c r="G60" i="1" l="1"/>
  <c r="E59" i="1"/>
  <c r="E50" i="1"/>
  <c r="D55" i="1"/>
  <c r="E55" i="1"/>
  <c r="D19" i="1"/>
  <c r="C59" i="1"/>
  <c r="D59" i="1"/>
  <c r="C50" i="1"/>
  <c r="D50" i="1"/>
  <c r="C19" i="1"/>
  <c r="C27" i="1" s="1"/>
  <c r="D42" i="1"/>
  <c r="C55" i="1"/>
  <c r="D27" i="1"/>
  <c r="C42" i="1"/>
  <c r="F107" i="1"/>
  <c r="F103" i="1"/>
  <c r="F91" i="1"/>
  <c r="F93" i="1" s="1"/>
  <c r="F59" i="1"/>
  <c r="F55" i="1"/>
  <c r="F26" i="1"/>
  <c r="F23" i="1"/>
  <c r="H19" i="1"/>
  <c r="G19" i="1"/>
  <c r="G27" i="1" s="1"/>
  <c r="E19" i="1"/>
  <c r="E27" i="1" s="1"/>
  <c r="G62" i="1" l="1"/>
  <c r="D60" i="1"/>
  <c r="C60" i="1"/>
  <c r="C62" i="1" s="1"/>
  <c r="F109" i="1"/>
  <c r="E42" i="1"/>
  <c r="D62" i="1" l="1"/>
  <c r="E60" i="1"/>
  <c r="E62" i="1" s="1"/>
  <c r="H59" i="1"/>
  <c r="H55" i="1"/>
  <c r="H50" i="1"/>
  <c r="H42" i="1"/>
  <c r="H23" i="1"/>
  <c r="H27" i="1" s="1"/>
  <c r="H60" i="1" l="1"/>
  <c r="H62" i="1" s="1"/>
  <c r="F42" i="1"/>
  <c r="F60" i="1" s="1"/>
  <c r="F19" i="1"/>
  <c r="F27" i="1" s="1"/>
  <c r="F62" i="1" l="1"/>
</calcChain>
</file>

<file path=xl/sharedStrings.xml><?xml version="1.0" encoding="utf-8"?>
<sst xmlns="http://schemas.openxmlformats.org/spreadsheetml/2006/main" count="84" uniqueCount="80">
  <si>
    <t>Kontingent</t>
  </si>
  <si>
    <t>Kommunetilskud</t>
  </si>
  <si>
    <t>Julekalendersalg</t>
  </si>
  <si>
    <t>Håndboldskole</t>
  </si>
  <si>
    <t>Gymnastikopvisning</t>
  </si>
  <si>
    <t>Support El</t>
  </si>
  <si>
    <t>BR66 arrangementer</t>
  </si>
  <si>
    <t>Andre arrangementer</t>
  </si>
  <si>
    <t>Aktivitetsindtægter i alt</t>
  </si>
  <si>
    <t>Tøj</t>
  </si>
  <si>
    <t>Julekalender</t>
  </si>
  <si>
    <t>Andet sponsor</t>
  </si>
  <si>
    <t>Andre indtægter</t>
  </si>
  <si>
    <t>Øvrige indtægter i alt</t>
  </si>
  <si>
    <t>Indtægter i alt</t>
  </si>
  <si>
    <t>Trænere/ledere</t>
  </si>
  <si>
    <t>Dommere</t>
  </si>
  <si>
    <t>Startgebyr/licens</t>
  </si>
  <si>
    <t>Stævner/Ture</t>
  </si>
  <si>
    <t>Kurser</t>
  </si>
  <si>
    <t>Bolde</t>
  </si>
  <si>
    <t>Rekvisitter/materialer</t>
  </si>
  <si>
    <t>Spillerudgifter</t>
  </si>
  <si>
    <t>Bøder</t>
  </si>
  <si>
    <t>Afslutninger</t>
  </si>
  <si>
    <t>Andre udgifter</t>
  </si>
  <si>
    <t>Driftomkostninger i alt</t>
  </si>
  <si>
    <t>Kontorhold, porto mm</t>
  </si>
  <si>
    <t>Annoncer</t>
  </si>
  <si>
    <t>Mødeudgifter/generalforsamling</t>
  </si>
  <si>
    <t>Hjemmeside</t>
  </si>
  <si>
    <t>Gaver/blomster</t>
  </si>
  <si>
    <t>Bankgebyrer/gebyrer</t>
  </si>
  <si>
    <t>Administration i alt</t>
  </si>
  <si>
    <t>BR66 Arrangementer</t>
  </si>
  <si>
    <t>Aktivitetsudgifter i alt</t>
  </si>
  <si>
    <t>Sponsorarrangementer</t>
  </si>
  <si>
    <t>Omkostninger i alt</t>
  </si>
  <si>
    <t>Balance</t>
  </si>
  <si>
    <t>Aktiver</t>
  </si>
  <si>
    <t>Likvide beholdninger i alt</t>
  </si>
  <si>
    <t>Tilgodehavender i alt</t>
  </si>
  <si>
    <t>Aktiver i alt</t>
  </si>
  <si>
    <t>Passiver</t>
  </si>
  <si>
    <t>Skyldige omkostninger</t>
  </si>
  <si>
    <t>Moms udgående</t>
  </si>
  <si>
    <t>Moms indgående</t>
  </si>
  <si>
    <t>Afregnet Moms</t>
  </si>
  <si>
    <t>Egenkapital primo</t>
  </si>
  <si>
    <t>Årets resultat</t>
  </si>
  <si>
    <t>Egenkapital i alt</t>
  </si>
  <si>
    <t>Passiver i alt</t>
  </si>
  <si>
    <t>Håndbold</t>
  </si>
  <si>
    <t>Gymnastik</t>
  </si>
  <si>
    <t>Kasserer</t>
  </si>
  <si>
    <t>Revisor</t>
  </si>
  <si>
    <t>Kasper Morthorst Kaysen</t>
  </si>
  <si>
    <t>Tilgodehavende sponsor</t>
  </si>
  <si>
    <t>Sponsor indtægter i alt</t>
  </si>
  <si>
    <t>Sponsor (Moms) i alt</t>
  </si>
  <si>
    <t>Resultatopgørelse</t>
  </si>
  <si>
    <t>Skyldige poster i alt</t>
  </si>
  <si>
    <t>Skyldig moms i alt</t>
  </si>
  <si>
    <t>Juletræssalg</t>
  </si>
  <si>
    <t>Sponsorpakker</t>
  </si>
  <si>
    <t>2019
Budget</t>
  </si>
  <si>
    <t>Jeanette Sjøstrand</t>
  </si>
  <si>
    <t>Danske Bank Mobilpay</t>
  </si>
  <si>
    <t>Danske Bank kontigent</t>
  </si>
  <si>
    <t>Danske foreningskonto</t>
  </si>
  <si>
    <t>Tutten</t>
  </si>
  <si>
    <t>Kasse</t>
  </si>
  <si>
    <t>Varebeholdning</t>
  </si>
  <si>
    <t>Varebeholdning i alt</t>
  </si>
  <si>
    <t>Forudbetalt kontingent</t>
  </si>
  <si>
    <t>E-sport</t>
  </si>
  <si>
    <t>Idrætsforeningen BR66 - 2019</t>
  </si>
  <si>
    <t>2019
Total</t>
  </si>
  <si>
    <t>2020
Budget</t>
  </si>
  <si>
    <t>Langeskov 01.02.2020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</si>
</sst>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 val="double"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3" fontId="18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 wrapText="1"/>
    </xf>
    <xf numFmtId="0" fontId="18" fillId="0" borderId="0" xfId="0" applyFont="1"/>
    <xf numFmtId="0" fontId="19" fillId="0" borderId="0" xfId="0" applyFont="1"/>
    <xf numFmtId="3" fontId="19" fillId="0" borderId="0" xfId="0" applyNumberFormat="1" applyFont="1"/>
    <xf numFmtId="4" fontId="19" fillId="0" borderId="0" xfId="0" applyNumberFormat="1" applyFont="1"/>
    <xf numFmtId="0" fontId="20" fillId="0" borderId="0" xfId="0" applyFont="1"/>
    <xf numFmtId="3" fontId="18" fillId="0" borderId="0" xfId="0" applyNumberFormat="1" applyFont="1"/>
    <xf numFmtId="3" fontId="19" fillId="0" borderId="11" xfId="0" applyNumberFormat="1" applyFont="1" applyBorder="1"/>
    <xf numFmtId="0" fontId="19" fillId="0" borderId="0" xfId="0" applyFont="1" applyBorder="1"/>
    <xf numFmtId="3" fontId="19" fillId="0" borderId="0" xfId="0" applyNumberFormat="1" applyFont="1" applyBorder="1"/>
    <xf numFmtId="4" fontId="19" fillId="0" borderId="11" xfId="0" applyNumberFormat="1" applyFont="1" applyBorder="1" applyAlignment="1"/>
    <xf numFmtId="0" fontId="18" fillId="0" borderId="0" xfId="0" applyFont="1" applyAlignment="1">
      <alignment wrapText="1"/>
    </xf>
    <xf numFmtId="3" fontId="21" fillId="0" borderId="0" xfId="0" applyNumberFormat="1" applyFont="1"/>
    <xf numFmtId="0" fontId="22" fillId="0" borderId="0" xfId="0" applyFont="1"/>
    <xf numFmtId="0" fontId="18" fillId="0" borderId="10" xfId="0" applyFont="1" applyBorder="1" applyAlignment="1">
      <alignment horizontal="center"/>
    </xf>
    <xf numFmtId="3" fontId="23" fillId="0" borderId="0" xfId="0" applyNumberFormat="1" applyFont="1"/>
    <xf numFmtId="3" fontId="20" fillId="0" borderId="0" xfId="0" applyNumberFormat="1" applyFont="1"/>
    <xf numFmtId="3" fontId="22" fillId="0" borderId="0" xfId="0" applyNumberFormat="1" applyFont="1"/>
    <xf numFmtId="3" fontId="20" fillId="0" borderId="0" xfId="0" applyNumberFormat="1" applyFont="1" applyBorder="1"/>
  </cellXfs>
  <cellStyles count="42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132"/>
  <sheetViews>
    <sheetView tabSelected="1" zoomScaleNormal="100" workbookViewId="0">
      <selection activeCell="O4" sqref="O4"/>
    </sheetView>
  </sheetViews>
  <sheetFormatPr defaultColWidth="9.109375" defaultRowHeight="13.8" x14ac:dyDescent="0.3"/>
  <cols>
    <col min="1" max="1" width="7.88671875" style="4" customWidth="1"/>
    <col min="2" max="2" width="25.44140625" style="4" customWidth="1"/>
    <col min="3" max="5" width="10.6640625" style="5" customWidth="1"/>
    <col min="6" max="6" width="12.44140625" style="5" customWidth="1"/>
    <col min="7" max="7" width="10.88671875" style="5" bestFit="1" customWidth="1"/>
    <col min="8" max="8" width="11.88671875" style="5" customWidth="1"/>
    <col min="9" max="16384" width="9.109375" style="4"/>
  </cols>
  <sheetData>
    <row r="7" spans="1:10" s="3" customFormat="1" ht="30" customHeight="1" thickBot="1" x14ac:dyDescent="0.35">
      <c r="A7" s="16" t="s">
        <v>76</v>
      </c>
      <c r="B7" s="16"/>
      <c r="C7" s="1" t="s">
        <v>52</v>
      </c>
      <c r="D7" s="1" t="s">
        <v>53</v>
      </c>
      <c r="E7" s="1" t="s">
        <v>75</v>
      </c>
      <c r="F7" s="2" t="s">
        <v>77</v>
      </c>
      <c r="G7" s="2" t="s">
        <v>65</v>
      </c>
      <c r="H7" s="2" t="s">
        <v>78</v>
      </c>
      <c r="J7" s="13"/>
    </row>
    <row r="8" spans="1:10" ht="15" customHeight="1" x14ac:dyDescent="0.3">
      <c r="B8" s="3" t="s">
        <v>60</v>
      </c>
    </row>
    <row r="9" spans="1:10" ht="11.4" customHeight="1" x14ac:dyDescent="0.3">
      <c r="A9" s="4">
        <v>1010</v>
      </c>
      <c r="B9" s="4" t="s">
        <v>0</v>
      </c>
      <c r="C9" s="5">
        <v>-323300</v>
      </c>
      <c r="D9" s="5">
        <v>-93235</v>
      </c>
      <c r="E9" s="5">
        <v>-27200</v>
      </c>
      <c r="F9" s="5">
        <v>-443735</v>
      </c>
      <c r="G9" s="5">
        <v>-417000</v>
      </c>
      <c r="H9" s="5">
        <v>-415000</v>
      </c>
      <c r="I9" s="6"/>
    </row>
    <row r="10" spans="1:10" ht="11.4" customHeight="1" x14ac:dyDescent="0.3">
      <c r="A10" s="4">
        <v>1050</v>
      </c>
      <c r="B10" s="4" t="s">
        <v>1</v>
      </c>
      <c r="C10" s="5">
        <v>-114749</v>
      </c>
      <c r="D10" s="5">
        <v>-41756</v>
      </c>
      <c r="E10" s="5">
        <v>-372</v>
      </c>
      <c r="F10" s="5">
        <v>-156877</v>
      </c>
      <c r="G10" s="5">
        <v>-108000</v>
      </c>
      <c r="H10" s="5">
        <v>-125000</v>
      </c>
    </row>
    <row r="11" spans="1:10" ht="11.4" customHeight="1" x14ac:dyDescent="0.3">
      <c r="A11" s="4">
        <v>1510</v>
      </c>
      <c r="B11" s="4" t="s">
        <v>2</v>
      </c>
      <c r="C11" s="17">
        <f>-22002*0.75</f>
        <v>-16501.5</v>
      </c>
      <c r="D11" s="17">
        <f>-22002*0.15</f>
        <v>-3300.2999999999997</v>
      </c>
      <c r="E11" s="17">
        <f>-22002*0.1</f>
        <v>-2200.2000000000003</v>
      </c>
      <c r="F11" s="17">
        <v>-22002</v>
      </c>
      <c r="G11" s="17">
        <v>-16000</v>
      </c>
      <c r="H11" s="5">
        <v>-19200</v>
      </c>
    </row>
    <row r="12" spans="1:10" ht="11.4" customHeight="1" x14ac:dyDescent="0.3">
      <c r="A12" s="4">
        <v>1515</v>
      </c>
      <c r="B12" s="4" t="s">
        <v>70</v>
      </c>
      <c r="C12" s="17">
        <f>-73405*0.75+40871</f>
        <v>-14182.75</v>
      </c>
      <c r="D12" s="17">
        <f>-73405*0.15+8174</f>
        <v>-2836.75</v>
      </c>
      <c r="E12" s="17">
        <f>-73405*0.1+5449</f>
        <v>-1891.5</v>
      </c>
      <c r="F12" s="17">
        <f>-73405+54494</f>
        <v>-18911</v>
      </c>
      <c r="H12" s="5">
        <v>-51000</v>
      </c>
    </row>
    <row r="13" spans="1:10" ht="11.4" customHeight="1" x14ac:dyDescent="0.3">
      <c r="A13" s="4">
        <v>1530</v>
      </c>
      <c r="B13" s="4" t="s">
        <v>3</v>
      </c>
      <c r="C13" s="5">
        <v>-6382</v>
      </c>
      <c r="D13" s="17"/>
      <c r="F13" s="17">
        <f>-24322-10000+27940</f>
        <v>-6382</v>
      </c>
      <c r="G13" s="17"/>
    </row>
    <row r="14" spans="1:10" ht="11.4" customHeight="1" x14ac:dyDescent="0.3">
      <c r="A14" s="4">
        <v>1540</v>
      </c>
      <c r="B14" s="4" t="s">
        <v>63</v>
      </c>
      <c r="C14" s="17">
        <f>-22343*0.75+7784</f>
        <v>-8973.25</v>
      </c>
      <c r="D14" s="5">
        <f>-3351+1557</f>
        <v>-1794</v>
      </c>
      <c r="E14" s="17">
        <f>-22343*0.1+1038</f>
        <v>-1196.3000000000002</v>
      </c>
      <c r="F14" s="17">
        <f>-22343+10379</f>
        <v>-11964</v>
      </c>
      <c r="G14" s="5">
        <v>-16000</v>
      </c>
      <c r="H14" s="5">
        <v>-6700</v>
      </c>
    </row>
    <row r="15" spans="1:10" ht="11.4" customHeight="1" x14ac:dyDescent="0.3">
      <c r="A15" s="4">
        <v>1550</v>
      </c>
      <c r="B15" s="4" t="s">
        <v>4</v>
      </c>
      <c r="D15" s="5">
        <v>-12440</v>
      </c>
      <c r="F15" s="17">
        <v>-12440</v>
      </c>
      <c r="G15" s="17">
        <v>-7000</v>
      </c>
      <c r="H15" s="5">
        <v>-10000</v>
      </c>
    </row>
    <row r="16" spans="1:10" ht="11.4" customHeight="1" x14ac:dyDescent="0.3">
      <c r="A16" s="4">
        <v>1560</v>
      </c>
      <c r="B16" s="4" t="s">
        <v>5</v>
      </c>
      <c r="C16" s="17">
        <f>-15400*0.75</f>
        <v>-11550</v>
      </c>
      <c r="D16" s="17">
        <f>-15400*0.15</f>
        <v>-2310</v>
      </c>
      <c r="E16" s="17">
        <f>-15400*0.1</f>
        <v>-1540</v>
      </c>
      <c r="F16" s="17">
        <v>-15400</v>
      </c>
      <c r="G16" s="17">
        <v>-16000</v>
      </c>
      <c r="H16" s="5">
        <v>-13500</v>
      </c>
    </row>
    <row r="17" spans="1:8" ht="11.4" customHeight="1" x14ac:dyDescent="0.3">
      <c r="A17" s="4">
        <v>1580</v>
      </c>
      <c r="B17" s="4" t="s">
        <v>6</v>
      </c>
      <c r="C17" s="17">
        <f>-5520*0.75</f>
        <v>-4140</v>
      </c>
      <c r="D17" s="5">
        <v>-828</v>
      </c>
      <c r="E17" s="17">
        <f>-5520*0.1</f>
        <v>-552</v>
      </c>
      <c r="F17" s="17">
        <v>-5520</v>
      </c>
      <c r="H17" s="5">
        <v>-5500</v>
      </c>
    </row>
    <row r="18" spans="1:8" ht="11.4" customHeight="1" x14ac:dyDescent="0.3">
      <c r="A18" s="4">
        <v>1590</v>
      </c>
      <c r="B18" s="4" t="s">
        <v>7</v>
      </c>
      <c r="C18" s="5">
        <v>-20560</v>
      </c>
      <c r="D18" s="17"/>
      <c r="F18" s="17">
        <f>-79571+59011</f>
        <v>-20560</v>
      </c>
      <c r="G18" s="17">
        <v>-43000</v>
      </c>
      <c r="H18" s="5">
        <v>-18500</v>
      </c>
    </row>
    <row r="19" spans="1:8" s="3" customFormat="1" ht="11.4" customHeight="1" x14ac:dyDescent="0.3">
      <c r="B19" s="7" t="s">
        <v>8</v>
      </c>
      <c r="C19" s="18">
        <f>SUM(C9:C18)</f>
        <v>-520338.5</v>
      </c>
      <c r="D19" s="18">
        <f>SUM(D9:D18)</f>
        <v>-158500.04999999999</v>
      </c>
      <c r="E19" s="18">
        <f t="shared" ref="E19:H19" si="0">SUM(E9:E18)</f>
        <v>-34952</v>
      </c>
      <c r="F19" s="18">
        <f t="shared" si="0"/>
        <v>-713791</v>
      </c>
      <c r="G19" s="18">
        <f t="shared" si="0"/>
        <v>-623000</v>
      </c>
      <c r="H19" s="18">
        <f t="shared" si="0"/>
        <v>-664400</v>
      </c>
    </row>
    <row r="20" spans="1:8" ht="11.4" customHeight="1" x14ac:dyDescent="0.3">
      <c r="B20" s="3"/>
    </row>
    <row r="21" spans="1:8" ht="11.4" customHeight="1" x14ac:dyDescent="0.3">
      <c r="A21" s="4">
        <v>1780</v>
      </c>
      <c r="B21" s="4" t="s">
        <v>64</v>
      </c>
      <c r="C21" s="5">
        <f>-186976+10000</f>
        <v>-176976</v>
      </c>
      <c r="D21" s="17">
        <f>(-14800*0.15)+(-227024*0.15)</f>
        <v>-36273.599999999999</v>
      </c>
      <c r="E21" s="17">
        <f>(-14800*0.1)+(-227024*0.1)</f>
        <v>-24182.400000000001</v>
      </c>
      <c r="F21" s="17">
        <v>-237432</v>
      </c>
      <c r="G21" s="5">
        <v>-297000</v>
      </c>
      <c r="H21" s="5">
        <v>-243600</v>
      </c>
    </row>
    <row r="22" spans="1:8" ht="11.4" customHeight="1" x14ac:dyDescent="0.3">
      <c r="A22" s="4">
        <v>1790</v>
      </c>
      <c r="B22" s="4" t="s">
        <v>11</v>
      </c>
      <c r="C22" s="5">
        <v>-70352</v>
      </c>
      <c r="F22" s="17">
        <f>-49480-20872</f>
        <v>-70352</v>
      </c>
      <c r="G22" s="5">
        <v>-49500</v>
      </c>
      <c r="H22" s="5">
        <v>-50000</v>
      </c>
    </row>
    <row r="23" spans="1:8" s="3" customFormat="1" ht="11.4" customHeight="1" x14ac:dyDescent="0.3">
      <c r="B23" s="7" t="s">
        <v>58</v>
      </c>
      <c r="C23" s="18">
        <f t="shared" ref="C23:H23" si="1">SUM(C21:C22)</f>
        <v>-247328</v>
      </c>
      <c r="D23" s="18">
        <f t="shared" si="1"/>
        <v>-36273.599999999999</v>
      </c>
      <c r="E23" s="18">
        <f t="shared" si="1"/>
        <v>-24182.400000000001</v>
      </c>
      <c r="F23" s="18">
        <f t="shared" si="1"/>
        <v>-307784</v>
      </c>
      <c r="G23" s="18">
        <f t="shared" si="1"/>
        <v>-346500</v>
      </c>
      <c r="H23" s="18">
        <f t="shared" si="1"/>
        <v>-293600</v>
      </c>
    </row>
    <row r="24" spans="1:8" ht="11.4" customHeight="1" x14ac:dyDescent="0.3">
      <c r="B24" s="3"/>
    </row>
    <row r="25" spans="1:8" ht="11.4" customHeight="1" x14ac:dyDescent="0.3">
      <c r="A25" s="4">
        <v>1930</v>
      </c>
      <c r="B25" s="4" t="s">
        <v>12</v>
      </c>
      <c r="C25" s="17">
        <f>(-36892*0.75)-80481</f>
        <v>-108150</v>
      </c>
      <c r="D25" s="17">
        <f>-36892*0.15</f>
        <v>-5533.8</v>
      </c>
      <c r="E25" s="17">
        <f>-36892*0.1</f>
        <v>-3689.2000000000003</v>
      </c>
      <c r="F25" s="17">
        <v>-117373</v>
      </c>
      <c r="H25" s="5">
        <v>-100000</v>
      </c>
    </row>
    <row r="26" spans="1:8" s="3" customFormat="1" ht="11.4" customHeight="1" x14ac:dyDescent="0.3">
      <c r="B26" s="7" t="s">
        <v>13</v>
      </c>
      <c r="C26" s="18">
        <f>SUM(C25:C25)</f>
        <v>-108150</v>
      </c>
      <c r="D26" s="18">
        <f>SUM(D25:D25)</f>
        <v>-5533.8</v>
      </c>
      <c r="E26" s="18">
        <f>SUM(E25:E25)</f>
        <v>-3689.2000000000003</v>
      </c>
      <c r="F26" s="18">
        <f>SUM(F25:F25)</f>
        <v>-117373</v>
      </c>
      <c r="G26" s="18">
        <f t="shared" ref="G26:H26" si="2">SUM(G25:G25)</f>
        <v>0</v>
      </c>
      <c r="H26" s="18">
        <f t="shared" si="2"/>
        <v>-100000</v>
      </c>
    </row>
    <row r="27" spans="1:8" s="7" customFormat="1" ht="11.4" customHeight="1" x14ac:dyDescent="0.3">
      <c r="B27" s="7" t="s">
        <v>14</v>
      </c>
      <c r="C27" s="18">
        <f>C19+C23+C26</f>
        <v>-875816.5</v>
      </c>
      <c r="D27" s="18">
        <f>D19+D23+D26</f>
        <v>-200307.44999999998</v>
      </c>
      <c r="E27" s="18">
        <f>E19+E23+E26</f>
        <v>-62823.6</v>
      </c>
      <c r="F27" s="18">
        <f>F19+F23+F26</f>
        <v>-1138948</v>
      </c>
      <c r="G27" s="18">
        <f>G19+G23+G26</f>
        <v>-969500</v>
      </c>
      <c r="H27" s="18">
        <f>H19+H23+H26</f>
        <v>-1058000</v>
      </c>
    </row>
    <row r="28" spans="1:8" s="7" customFormat="1" ht="11.4" customHeight="1" x14ac:dyDescent="0.3">
      <c r="C28" s="5"/>
      <c r="D28" s="5"/>
      <c r="E28" s="5"/>
      <c r="F28" s="14"/>
      <c r="G28" s="5"/>
      <c r="H28" s="5"/>
    </row>
    <row r="29" spans="1:8" ht="11.4" customHeight="1" x14ac:dyDescent="0.3">
      <c r="A29" s="4">
        <v>2010</v>
      </c>
      <c r="B29" s="4" t="s">
        <v>0</v>
      </c>
      <c r="C29" s="17">
        <f>(4886*0.75)+3075</f>
        <v>6739.5</v>
      </c>
      <c r="D29" s="17">
        <f>(4886*0.15)+2967</f>
        <v>3699.9</v>
      </c>
      <c r="E29" s="17">
        <f>4886*0.1</f>
        <v>488.6</v>
      </c>
      <c r="F29" s="17">
        <v>10928</v>
      </c>
      <c r="G29" s="5">
        <v>8000</v>
      </c>
      <c r="H29" s="5">
        <v>11000</v>
      </c>
    </row>
    <row r="30" spans="1:8" ht="11.4" customHeight="1" x14ac:dyDescent="0.3">
      <c r="A30" s="4">
        <v>2020</v>
      </c>
      <c r="B30" s="4" t="s">
        <v>15</v>
      </c>
      <c r="C30" s="17">
        <f>156507+6200</f>
        <v>162707</v>
      </c>
      <c r="D30" s="17">
        <f>41256+12138</f>
        <v>53394</v>
      </c>
      <c r="E30" s="5">
        <v>3900</v>
      </c>
      <c r="F30" s="17">
        <f>197763+22238</f>
        <v>220001</v>
      </c>
      <c r="G30" s="5">
        <v>222000</v>
      </c>
      <c r="H30" s="5">
        <v>241000</v>
      </c>
    </row>
    <row r="31" spans="1:8" ht="11.4" customHeight="1" x14ac:dyDescent="0.3">
      <c r="A31" s="4">
        <v>2030</v>
      </c>
      <c r="B31" s="4" t="s">
        <v>16</v>
      </c>
      <c r="C31" s="5">
        <v>40651</v>
      </c>
      <c r="F31" s="17">
        <v>40651</v>
      </c>
      <c r="G31" s="5">
        <v>5000</v>
      </c>
      <c r="H31" s="5">
        <v>40000</v>
      </c>
    </row>
    <row r="32" spans="1:8" ht="11.4" customHeight="1" x14ac:dyDescent="0.3">
      <c r="A32" s="4">
        <v>2040</v>
      </c>
      <c r="B32" s="4" t="s">
        <v>17</v>
      </c>
      <c r="C32" s="5">
        <v>78900</v>
      </c>
      <c r="E32" s="17">
        <v>500</v>
      </c>
      <c r="F32" s="17">
        <v>79400</v>
      </c>
      <c r="G32" s="5">
        <v>85000</v>
      </c>
      <c r="H32" s="5">
        <v>85000</v>
      </c>
    </row>
    <row r="33" spans="1:8" ht="11.4" customHeight="1" x14ac:dyDescent="0.3">
      <c r="A33" s="4">
        <v>2050</v>
      </c>
      <c r="B33" s="4" t="s">
        <v>18</v>
      </c>
      <c r="C33" s="17">
        <f>147152-65890</f>
        <v>81262</v>
      </c>
      <c r="D33" s="17">
        <v>1600</v>
      </c>
      <c r="F33" s="17">
        <f>148752-65890</f>
        <v>82862</v>
      </c>
      <c r="G33" s="5">
        <v>100000</v>
      </c>
      <c r="H33" s="5">
        <v>101500</v>
      </c>
    </row>
    <row r="34" spans="1:8" ht="11.4" customHeight="1" x14ac:dyDescent="0.3">
      <c r="A34" s="4">
        <v>2060</v>
      </c>
      <c r="B34" s="4" t="s">
        <v>19</v>
      </c>
      <c r="C34" s="17">
        <v>76799</v>
      </c>
      <c r="D34" s="17">
        <v>19092</v>
      </c>
      <c r="E34" s="17">
        <v>3050</v>
      </c>
      <c r="F34" s="17">
        <v>98941</v>
      </c>
      <c r="G34" s="5">
        <v>105000</v>
      </c>
      <c r="H34" s="5">
        <v>105000</v>
      </c>
    </row>
    <row r="35" spans="1:8" ht="11.4" customHeight="1" x14ac:dyDescent="0.3">
      <c r="A35" s="4">
        <v>2090</v>
      </c>
      <c r="B35" s="4" t="s">
        <v>20</v>
      </c>
      <c r="C35" s="5">
        <v>11831</v>
      </c>
      <c r="F35" s="17">
        <v>11831</v>
      </c>
      <c r="G35" s="5">
        <v>30000</v>
      </c>
      <c r="H35" s="5">
        <v>20000</v>
      </c>
    </row>
    <row r="36" spans="1:8" ht="11.4" customHeight="1" x14ac:dyDescent="0.3">
      <c r="A36" s="4">
        <v>2205</v>
      </c>
      <c r="B36" s="4" t="s">
        <v>9</v>
      </c>
      <c r="C36" s="17">
        <f>(152700*0.75)+95009-114525+87039</f>
        <v>182048</v>
      </c>
      <c r="D36" s="17">
        <f>(152700*0.15)+1517-22905+61080</f>
        <v>62597</v>
      </c>
      <c r="E36" s="17">
        <f>(152700*0.1)+3838-15270+4581</f>
        <v>8419</v>
      </c>
      <c r="F36" s="17">
        <v>253064</v>
      </c>
      <c r="G36" s="5">
        <v>58000</v>
      </c>
      <c r="H36" s="5">
        <v>76000</v>
      </c>
    </row>
    <row r="37" spans="1:8" ht="11.4" customHeight="1" x14ac:dyDescent="0.3">
      <c r="A37" s="4">
        <v>2210</v>
      </c>
      <c r="B37" s="4" t="s">
        <v>21</v>
      </c>
      <c r="C37" s="17">
        <v>55771</v>
      </c>
      <c r="D37" s="17">
        <v>38685</v>
      </c>
      <c r="E37" s="17">
        <v>17433</v>
      </c>
      <c r="F37" s="17">
        <v>111889</v>
      </c>
      <c r="G37" s="5">
        <v>42250</v>
      </c>
      <c r="H37" s="5">
        <v>46000</v>
      </c>
    </row>
    <row r="38" spans="1:8" ht="11.4" customHeight="1" x14ac:dyDescent="0.3">
      <c r="A38" s="4">
        <v>2225</v>
      </c>
      <c r="B38" s="4" t="s">
        <v>22</v>
      </c>
      <c r="C38" s="5">
        <v>13873</v>
      </c>
      <c r="F38" s="17">
        <v>13873</v>
      </c>
      <c r="G38" s="5">
        <v>3000</v>
      </c>
      <c r="H38" s="5">
        <v>14000</v>
      </c>
    </row>
    <row r="39" spans="1:8" ht="11.4" customHeight="1" x14ac:dyDescent="0.3">
      <c r="A39" s="4">
        <v>2230</v>
      </c>
      <c r="B39" s="4" t="s">
        <v>23</v>
      </c>
      <c r="C39" s="5">
        <v>5825</v>
      </c>
      <c r="F39" s="17">
        <v>5825</v>
      </c>
      <c r="G39" s="5">
        <v>3000</v>
      </c>
      <c r="H39" s="5">
        <v>3000</v>
      </c>
    </row>
    <row r="40" spans="1:8" ht="11.4" customHeight="1" x14ac:dyDescent="0.3">
      <c r="A40" s="4">
        <v>2250</v>
      </c>
      <c r="B40" s="4" t="s">
        <v>24</v>
      </c>
      <c r="C40" s="17">
        <f>18384+(6330*0.75)</f>
        <v>23131.5</v>
      </c>
      <c r="D40" s="17">
        <f>(6330*0.15)+2053</f>
        <v>3002.5</v>
      </c>
      <c r="E40" s="17">
        <f>(6330*0.1)</f>
        <v>633</v>
      </c>
      <c r="F40" s="17">
        <v>26767</v>
      </c>
      <c r="G40" s="5">
        <v>19000</v>
      </c>
      <c r="H40" s="5">
        <v>84000</v>
      </c>
    </row>
    <row r="41" spans="1:8" ht="11.4" customHeight="1" x14ac:dyDescent="0.3">
      <c r="A41" s="4">
        <v>2290</v>
      </c>
      <c r="B41" s="4" t="s">
        <v>25</v>
      </c>
      <c r="C41" s="17">
        <f>3701*0.75+169</f>
        <v>2944.75</v>
      </c>
      <c r="D41" s="17">
        <f>(3701*0.15)+832</f>
        <v>1387.15</v>
      </c>
      <c r="E41" s="17">
        <f>3701*0.1</f>
        <v>370.1</v>
      </c>
      <c r="F41" s="17">
        <v>4702</v>
      </c>
      <c r="G41" s="5">
        <v>99500</v>
      </c>
      <c r="H41" s="5">
        <v>9500</v>
      </c>
    </row>
    <row r="42" spans="1:8" s="7" customFormat="1" ht="11.4" customHeight="1" x14ac:dyDescent="0.3">
      <c r="B42" s="7" t="s">
        <v>26</v>
      </c>
      <c r="C42" s="18">
        <f t="shared" ref="C42:H42" si="3">SUM(C29:C41)</f>
        <v>742482.75</v>
      </c>
      <c r="D42" s="18">
        <f t="shared" si="3"/>
        <v>183457.55</v>
      </c>
      <c r="E42" s="18">
        <f t="shared" si="3"/>
        <v>34793.699999999997</v>
      </c>
      <c r="F42" s="18">
        <f t="shared" si="3"/>
        <v>960734</v>
      </c>
      <c r="G42" s="18">
        <f t="shared" si="3"/>
        <v>779750</v>
      </c>
      <c r="H42" s="18">
        <f t="shared" si="3"/>
        <v>836000</v>
      </c>
    </row>
    <row r="43" spans="1:8" s="3" customFormat="1" ht="11.4" customHeight="1" x14ac:dyDescent="0.3">
      <c r="C43" s="5"/>
      <c r="D43" s="5"/>
      <c r="E43" s="5"/>
      <c r="F43" s="5"/>
      <c r="G43" s="5"/>
      <c r="H43" s="8"/>
    </row>
    <row r="44" spans="1:8" ht="11.4" customHeight="1" x14ac:dyDescent="0.3">
      <c r="A44" s="4">
        <v>3000</v>
      </c>
      <c r="B44" s="4" t="s">
        <v>27</v>
      </c>
      <c r="C44" s="17">
        <f>19417*0.75+12000</f>
        <v>26562.75</v>
      </c>
      <c r="D44" s="17">
        <f>19417*0.15+8000</f>
        <v>10912.55</v>
      </c>
      <c r="E44" s="17">
        <f>19417*0.1+6225</f>
        <v>8166.7</v>
      </c>
      <c r="F44" s="17">
        <v>45643</v>
      </c>
      <c r="G44" s="5">
        <v>31000</v>
      </c>
      <c r="H44" s="5">
        <v>46000</v>
      </c>
    </row>
    <row r="45" spans="1:8" ht="11.4" customHeight="1" x14ac:dyDescent="0.3">
      <c r="A45" s="4">
        <v>3010</v>
      </c>
      <c r="B45" s="4" t="s">
        <v>28</v>
      </c>
      <c r="C45" s="17">
        <f>7068*0.75</f>
        <v>5301</v>
      </c>
      <c r="D45" s="17">
        <f>7068*0.15</f>
        <v>1060.2</v>
      </c>
      <c r="E45" s="17">
        <f>7068*0.1</f>
        <v>706.80000000000007</v>
      </c>
      <c r="F45" s="17">
        <v>7068</v>
      </c>
      <c r="G45" s="5">
        <v>5000</v>
      </c>
      <c r="H45" s="5">
        <v>6000</v>
      </c>
    </row>
    <row r="46" spans="1:8" ht="11.4" customHeight="1" x14ac:dyDescent="0.3">
      <c r="A46" s="4">
        <v>3030</v>
      </c>
      <c r="B46" s="4" t="s">
        <v>29</v>
      </c>
      <c r="C46" s="17">
        <f>(6821*0.75)+12334</f>
        <v>17449.75</v>
      </c>
      <c r="D46" s="17">
        <f>6821*0.15+5000</f>
        <v>6023.15</v>
      </c>
      <c r="E46" s="17">
        <f>(6821*0.1)+225</f>
        <v>907.1</v>
      </c>
      <c r="F46" s="17">
        <v>24380</v>
      </c>
      <c r="G46" s="5">
        <v>33000</v>
      </c>
      <c r="H46" s="5">
        <v>29200</v>
      </c>
    </row>
    <row r="47" spans="1:8" ht="11.4" customHeight="1" x14ac:dyDescent="0.3">
      <c r="A47" s="4">
        <v>3050</v>
      </c>
      <c r="B47" s="4" t="s">
        <v>30</v>
      </c>
      <c r="C47" s="17">
        <f>2852*0.75</f>
        <v>2139</v>
      </c>
      <c r="D47" s="17">
        <f>2851*0.15</f>
        <v>427.65</v>
      </c>
      <c r="E47" s="17">
        <f>2851*0.1</f>
        <v>285.10000000000002</v>
      </c>
      <c r="F47" s="17">
        <v>2851</v>
      </c>
      <c r="G47" s="5">
        <v>5000</v>
      </c>
      <c r="H47" s="5">
        <v>3750</v>
      </c>
    </row>
    <row r="48" spans="1:8" ht="11.4" customHeight="1" x14ac:dyDescent="0.3">
      <c r="A48" s="4">
        <v>3060</v>
      </c>
      <c r="B48" s="4" t="s">
        <v>31</v>
      </c>
      <c r="C48" s="17">
        <f>(2817*0.75)+1348</f>
        <v>3460.75</v>
      </c>
      <c r="D48" s="17">
        <f>(2817*0.15)+1613</f>
        <v>2035.55</v>
      </c>
      <c r="E48" s="17">
        <f>2817*0.1</f>
        <v>281.7</v>
      </c>
      <c r="F48" s="17">
        <v>5778</v>
      </c>
      <c r="G48" s="5">
        <v>4500</v>
      </c>
      <c r="H48" s="5">
        <v>5300</v>
      </c>
    </row>
    <row r="49" spans="1:8" ht="11.4" customHeight="1" x14ac:dyDescent="0.3">
      <c r="A49" s="4">
        <v>3070</v>
      </c>
      <c r="B49" s="4" t="s">
        <v>32</v>
      </c>
      <c r="C49" s="17">
        <f>(5819*0.75)+100</f>
        <v>4464.25</v>
      </c>
      <c r="D49" s="17">
        <f>5819*0.15</f>
        <v>872.85</v>
      </c>
      <c r="E49" s="17">
        <f>5819*0.1</f>
        <v>581.9</v>
      </c>
      <c r="F49" s="17">
        <v>5919</v>
      </c>
      <c r="G49" s="5">
        <v>4000</v>
      </c>
      <c r="H49" s="5">
        <v>5700</v>
      </c>
    </row>
    <row r="50" spans="1:8" s="7" customFormat="1" ht="11.4" customHeight="1" x14ac:dyDescent="0.3">
      <c r="B50" s="7" t="s">
        <v>33</v>
      </c>
      <c r="C50" s="18">
        <f t="shared" ref="C50:H50" si="4">SUM(C44:C49)</f>
        <v>59377.5</v>
      </c>
      <c r="D50" s="18">
        <f t="shared" si="4"/>
        <v>21331.95</v>
      </c>
      <c r="E50" s="18">
        <f t="shared" si="4"/>
        <v>10929.300000000001</v>
      </c>
      <c r="F50" s="18">
        <f t="shared" si="4"/>
        <v>91639</v>
      </c>
      <c r="G50" s="18">
        <f t="shared" si="4"/>
        <v>82500</v>
      </c>
      <c r="H50" s="18">
        <f t="shared" si="4"/>
        <v>95950</v>
      </c>
    </row>
    <row r="51" spans="1:8" s="3" customFormat="1" ht="11.4" customHeight="1" x14ac:dyDescent="0.3">
      <c r="B51" s="7"/>
      <c r="C51" s="5"/>
      <c r="D51" s="5"/>
      <c r="E51" s="5"/>
      <c r="F51" s="5"/>
      <c r="G51" s="5"/>
      <c r="H51" s="8"/>
    </row>
    <row r="52" spans="1:8" ht="11.4" customHeight="1" x14ac:dyDescent="0.3">
      <c r="A52" s="4">
        <v>3510</v>
      </c>
      <c r="B52" s="4" t="s">
        <v>10</v>
      </c>
      <c r="C52" s="17">
        <f>9565*0.75</f>
        <v>7173.75</v>
      </c>
      <c r="D52" s="17">
        <f>9565*0.15</f>
        <v>1434.75</v>
      </c>
      <c r="E52" s="17">
        <f>9565*0.1</f>
        <v>956.5</v>
      </c>
      <c r="F52" s="17">
        <v>9565</v>
      </c>
      <c r="G52" s="5">
        <v>6500</v>
      </c>
      <c r="H52" s="5">
        <v>9550</v>
      </c>
    </row>
    <row r="53" spans="1:8" ht="11.4" customHeight="1" x14ac:dyDescent="0.3">
      <c r="A53" s="4">
        <v>3550</v>
      </c>
      <c r="B53" s="4" t="s">
        <v>4</v>
      </c>
      <c r="D53" s="5">
        <v>10112</v>
      </c>
      <c r="F53" s="17">
        <v>10112</v>
      </c>
      <c r="G53" s="5">
        <v>9000</v>
      </c>
      <c r="H53" s="5">
        <v>10000</v>
      </c>
    </row>
    <row r="54" spans="1:8" ht="11.4" customHeight="1" x14ac:dyDescent="0.3">
      <c r="A54" s="4">
        <v>3560</v>
      </c>
      <c r="B54" s="4" t="s">
        <v>34</v>
      </c>
      <c r="C54" s="17">
        <f>5383*0.75</f>
        <v>4037.25</v>
      </c>
      <c r="D54" s="17">
        <f>5383*0.15</f>
        <v>807.44999999999993</v>
      </c>
      <c r="E54" s="17">
        <f>5383*0.1</f>
        <v>538.30000000000007</v>
      </c>
      <c r="F54" s="17">
        <v>5383</v>
      </c>
      <c r="G54" s="5">
        <v>15000</v>
      </c>
      <c r="H54" s="5">
        <v>15000</v>
      </c>
    </row>
    <row r="55" spans="1:8" s="7" customFormat="1" ht="11.4" customHeight="1" x14ac:dyDescent="0.3">
      <c r="B55" s="7" t="s">
        <v>35</v>
      </c>
      <c r="C55" s="18">
        <f t="shared" ref="C55:H55" si="5">SUM(C52:C54)</f>
        <v>11211</v>
      </c>
      <c r="D55" s="18">
        <f t="shared" si="5"/>
        <v>12354.2</v>
      </c>
      <c r="E55" s="18">
        <f t="shared" si="5"/>
        <v>1494.8000000000002</v>
      </c>
      <c r="F55" s="18">
        <f t="shared" si="5"/>
        <v>25060</v>
      </c>
      <c r="G55" s="18">
        <f t="shared" si="5"/>
        <v>30500</v>
      </c>
      <c r="H55" s="18">
        <f t="shared" si="5"/>
        <v>34550</v>
      </c>
    </row>
    <row r="56" spans="1:8" ht="11.4" customHeight="1" x14ac:dyDescent="0.3">
      <c r="B56" s="3"/>
    </row>
    <row r="57" spans="1:8" ht="11.4" customHeight="1" x14ac:dyDescent="0.3">
      <c r="A57" s="4">
        <v>4030</v>
      </c>
      <c r="B57" s="4" t="s">
        <v>36</v>
      </c>
      <c r="C57" s="17">
        <f>15665*0.75</f>
        <v>11748.75</v>
      </c>
      <c r="D57" s="17">
        <f>15665*0.15</f>
        <v>2349.75</v>
      </c>
      <c r="E57" s="17">
        <f>15665*0.1</f>
        <v>1566.5</v>
      </c>
      <c r="F57" s="17">
        <v>15665</v>
      </c>
      <c r="G57" s="5">
        <v>20000</v>
      </c>
      <c r="H57" s="5">
        <v>20000</v>
      </c>
    </row>
    <row r="58" spans="1:8" ht="11.4" customHeight="1" x14ac:dyDescent="0.3">
      <c r="A58" s="4">
        <v>4050</v>
      </c>
      <c r="B58" s="4" t="s">
        <v>11</v>
      </c>
      <c r="C58" s="17">
        <f>(3800*0.75)+30819</f>
        <v>33669</v>
      </c>
      <c r="D58" s="17">
        <f>3800*0.15</f>
        <v>570</v>
      </c>
      <c r="E58" s="17">
        <f>3800*0.1+638</f>
        <v>1018</v>
      </c>
      <c r="F58" s="17">
        <f>3800+31457</f>
        <v>35257</v>
      </c>
      <c r="G58" s="5">
        <v>2000</v>
      </c>
      <c r="H58" s="5">
        <v>20700</v>
      </c>
    </row>
    <row r="59" spans="1:8" s="7" customFormat="1" ht="11.4" customHeight="1" x14ac:dyDescent="0.3">
      <c r="B59" s="7" t="s">
        <v>59</v>
      </c>
      <c r="C59" s="18">
        <f t="shared" ref="C59:H59" si="6">SUM(C57:C58)</f>
        <v>45417.75</v>
      </c>
      <c r="D59" s="18">
        <f t="shared" si="6"/>
        <v>2919.75</v>
      </c>
      <c r="E59" s="18">
        <f t="shared" si="6"/>
        <v>2584.5</v>
      </c>
      <c r="F59" s="18">
        <f t="shared" si="6"/>
        <v>50922</v>
      </c>
      <c r="G59" s="18">
        <f t="shared" si="6"/>
        <v>22000</v>
      </c>
      <c r="H59" s="18">
        <f t="shared" si="6"/>
        <v>40700</v>
      </c>
    </row>
    <row r="60" spans="1:8" s="7" customFormat="1" ht="11.4" customHeight="1" x14ac:dyDescent="0.3">
      <c r="B60" s="7" t="s">
        <v>37</v>
      </c>
      <c r="C60" s="18">
        <f>C42+C50+C55+C59</f>
        <v>858489</v>
      </c>
      <c r="D60" s="18">
        <f>D42+D50+D55+D59</f>
        <v>220063.45</v>
      </c>
      <c r="E60" s="18">
        <f>E42+E50+E55+E59</f>
        <v>49802.3</v>
      </c>
      <c r="F60" s="18">
        <f>F42+F50+F55+F59</f>
        <v>1128355</v>
      </c>
      <c r="G60" s="18">
        <f>G42+G50+G55+G59</f>
        <v>914750</v>
      </c>
      <c r="H60" s="18">
        <f>H42+H50+H55+H59</f>
        <v>1007200</v>
      </c>
    </row>
    <row r="61" spans="1:8" ht="11.4" customHeight="1" x14ac:dyDescent="0.3"/>
    <row r="62" spans="1:8" s="15" customFormat="1" ht="11.4" customHeight="1" x14ac:dyDescent="0.3">
      <c r="B62" s="15" t="s">
        <v>49</v>
      </c>
      <c r="C62" s="19">
        <f>C27+C60</f>
        <v>-17327.5</v>
      </c>
      <c r="D62" s="19">
        <f>D27+D60</f>
        <v>19756.000000000029</v>
      </c>
      <c r="E62" s="19">
        <f>E27+E60</f>
        <v>-13021.299999999996</v>
      </c>
      <c r="F62" s="19">
        <f>F27+F60</f>
        <v>-10593</v>
      </c>
      <c r="G62" s="19">
        <f>G27+G60</f>
        <v>-54750</v>
      </c>
      <c r="H62" s="19">
        <f>H27+H60</f>
        <v>-50800</v>
      </c>
    </row>
    <row r="63" spans="1:8" s="15" customFormat="1" ht="11.4" customHeight="1" x14ac:dyDescent="0.3">
      <c r="C63" s="19"/>
      <c r="D63" s="19"/>
      <c r="E63" s="19"/>
      <c r="F63" s="19"/>
      <c r="G63" s="19"/>
      <c r="H63" s="19"/>
    </row>
    <row r="64" spans="1:8" s="15" customFormat="1" ht="11.4" customHeight="1" x14ac:dyDescent="0.3">
      <c r="C64" s="19"/>
      <c r="D64" s="19"/>
      <c r="E64" s="19"/>
      <c r="F64" s="19"/>
      <c r="G64" s="19"/>
      <c r="H64" s="19"/>
    </row>
    <row r="65" spans="2:8" s="15" customFormat="1" ht="11.4" customHeight="1" x14ac:dyDescent="0.3">
      <c r="C65" s="19"/>
      <c r="D65" s="19"/>
      <c r="E65" s="19"/>
      <c r="F65" s="19"/>
      <c r="G65" s="19"/>
      <c r="H65" s="19"/>
    </row>
    <row r="66" spans="2:8" s="15" customFormat="1" ht="11.4" customHeight="1" x14ac:dyDescent="0.3">
      <c r="C66" s="19"/>
      <c r="D66" s="19"/>
      <c r="E66" s="19"/>
      <c r="F66" s="19"/>
      <c r="G66" s="19"/>
      <c r="H66" s="19"/>
    </row>
    <row r="67" spans="2:8" s="15" customFormat="1" ht="11.4" customHeight="1" x14ac:dyDescent="0.3">
      <c r="C67" s="19"/>
      <c r="D67" s="19"/>
      <c r="E67" s="19"/>
      <c r="F67" s="19"/>
      <c r="G67" s="19"/>
      <c r="H67" s="19"/>
    </row>
    <row r="68" spans="2:8" s="15" customFormat="1" ht="11.4" customHeight="1" x14ac:dyDescent="0.3">
      <c r="C68" s="19"/>
      <c r="D68" s="19"/>
      <c r="E68" s="19"/>
      <c r="F68" s="19"/>
      <c r="G68" s="19"/>
      <c r="H68" s="19"/>
    </row>
    <row r="69" spans="2:8" s="7" customFormat="1" ht="11.4" customHeight="1" x14ac:dyDescent="0.3">
      <c r="C69" s="5"/>
      <c r="D69" s="14"/>
      <c r="E69" s="5"/>
      <c r="F69" s="14"/>
      <c r="G69" s="14"/>
      <c r="H69" s="5"/>
    </row>
    <row r="70" spans="2:8" s="7" customFormat="1" ht="11.4" customHeight="1" x14ac:dyDescent="0.3">
      <c r="C70" s="5"/>
      <c r="D70" s="14"/>
      <c r="E70" s="5"/>
      <c r="F70" s="14"/>
      <c r="G70" s="14"/>
      <c r="H70" s="5"/>
    </row>
    <row r="71" spans="2:8" s="7" customFormat="1" ht="11.4" customHeight="1" x14ac:dyDescent="0.3">
      <c r="C71" s="5"/>
      <c r="D71" s="14"/>
      <c r="E71" s="5"/>
      <c r="F71" s="14"/>
      <c r="G71" s="14"/>
      <c r="H71" s="5"/>
    </row>
    <row r="72" spans="2:8" s="7" customFormat="1" ht="11.4" customHeight="1" x14ac:dyDescent="0.3">
      <c r="C72" s="5"/>
      <c r="D72" s="14"/>
      <c r="E72" s="5"/>
      <c r="F72" s="14"/>
      <c r="G72" s="14"/>
      <c r="H72" s="5"/>
    </row>
    <row r="73" spans="2:8" s="7" customFormat="1" ht="11.4" customHeight="1" x14ac:dyDescent="0.3">
      <c r="C73" s="5"/>
      <c r="D73" s="14"/>
      <c r="E73" s="5"/>
      <c r="F73" s="14"/>
      <c r="G73" s="14"/>
      <c r="H73" s="5"/>
    </row>
    <row r="74" spans="2:8" s="7" customFormat="1" ht="11.4" customHeight="1" x14ac:dyDescent="0.3">
      <c r="C74" s="5"/>
      <c r="D74" s="14"/>
      <c r="E74" s="5"/>
      <c r="F74" s="14"/>
      <c r="G74" s="14"/>
      <c r="H74" s="5"/>
    </row>
    <row r="75" spans="2:8" s="7" customFormat="1" ht="11.4" customHeight="1" x14ac:dyDescent="0.3">
      <c r="C75" s="5"/>
      <c r="D75" s="14"/>
      <c r="E75" s="5"/>
      <c r="F75" s="14"/>
      <c r="G75" s="14"/>
      <c r="H75" s="5"/>
    </row>
    <row r="76" spans="2:8" s="7" customFormat="1" ht="11.4" customHeight="1" x14ac:dyDescent="0.3">
      <c r="C76" s="5"/>
      <c r="D76" s="14"/>
      <c r="E76" s="5"/>
      <c r="F76" s="14"/>
      <c r="G76" s="14"/>
      <c r="H76" s="5"/>
    </row>
    <row r="77" spans="2:8" s="7" customFormat="1" ht="11.4" customHeight="1" x14ac:dyDescent="0.3">
      <c r="C77" s="5"/>
      <c r="D77" s="14"/>
      <c r="E77" s="5"/>
      <c r="F77" s="5"/>
      <c r="G77" s="14"/>
      <c r="H77" s="5"/>
    </row>
    <row r="78" spans="2:8" s="3" customFormat="1" ht="15" customHeight="1" x14ac:dyDescent="0.3">
      <c r="B78" s="3" t="s">
        <v>38</v>
      </c>
      <c r="C78" s="5"/>
      <c r="D78" s="5"/>
      <c r="E78" s="5"/>
      <c r="F78" s="5"/>
      <c r="G78" s="5"/>
      <c r="H78" s="5"/>
    </row>
    <row r="79" spans="2:8" ht="11.4" customHeight="1" x14ac:dyDescent="0.3"/>
    <row r="80" spans="2:8" ht="11.4" customHeight="1" x14ac:dyDescent="0.3">
      <c r="B80" s="3" t="s">
        <v>39</v>
      </c>
    </row>
    <row r="81" spans="1:8" ht="11.4" customHeight="1" x14ac:dyDescent="0.3">
      <c r="A81" s="4">
        <v>5110</v>
      </c>
      <c r="B81" s="4" t="s">
        <v>69</v>
      </c>
      <c r="F81" s="5">
        <v>625653</v>
      </c>
    </row>
    <row r="82" spans="1:8" ht="11.4" customHeight="1" x14ac:dyDescent="0.3">
      <c r="A82" s="4">
        <v>5130</v>
      </c>
      <c r="B82" s="4" t="s">
        <v>67</v>
      </c>
      <c r="F82" s="5">
        <v>16540</v>
      </c>
    </row>
    <row r="83" spans="1:8" ht="11.4" customHeight="1" x14ac:dyDescent="0.3">
      <c r="A83" s="4">
        <v>5135</v>
      </c>
      <c r="B83" s="4" t="s">
        <v>68</v>
      </c>
      <c r="F83" s="5">
        <v>22886</v>
      </c>
    </row>
    <row r="84" spans="1:8" ht="11.4" customHeight="1" x14ac:dyDescent="0.3">
      <c r="A84" s="4">
        <v>5150</v>
      </c>
      <c r="B84" s="4" t="s">
        <v>71</v>
      </c>
      <c r="F84" s="5">
        <v>8630</v>
      </c>
    </row>
    <row r="85" spans="1:8" s="3" customFormat="1" ht="11.4" customHeight="1" x14ac:dyDescent="0.3">
      <c r="B85" s="7" t="s">
        <v>40</v>
      </c>
      <c r="C85" s="5"/>
      <c r="D85" s="5"/>
      <c r="E85" s="5"/>
      <c r="F85" s="18">
        <f>SUM(F81:F84)</f>
        <v>673709</v>
      </c>
      <c r="G85" s="5"/>
      <c r="H85" s="5"/>
    </row>
    <row r="86" spans="1:8" s="3" customFormat="1" ht="11.4" customHeight="1" x14ac:dyDescent="0.3">
      <c r="C86" s="5"/>
      <c r="D86" s="5"/>
      <c r="E86" s="5"/>
      <c r="F86" s="18"/>
      <c r="G86" s="5"/>
      <c r="H86" s="5"/>
    </row>
    <row r="87" spans="1:8" s="3" customFormat="1" ht="11.4" customHeight="1" x14ac:dyDescent="0.3">
      <c r="A87" s="4">
        <v>5210</v>
      </c>
      <c r="B87" s="4" t="s">
        <v>72</v>
      </c>
      <c r="C87" s="5"/>
      <c r="D87" s="5"/>
      <c r="E87" s="5"/>
      <c r="F87" s="5">
        <v>7422</v>
      </c>
      <c r="G87" s="5"/>
      <c r="H87" s="5"/>
    </row>
    <row r="88" spans="1:8" s="3" customFormat="1" ht="11.4" customHeight="1" x14ac:dyDescent="0.3">
      <c r="B88" s="7" t="s">
        <v>73</v>
      </c>
      <c r="C88" s="5"/>
      <c r="D88" s="5"/>
      <c r="E88" s="5"/>
      <c r="F88" s="18">
        <f>SUM(F86:F87)</f>
        <v>7422</v>
      </c>
      <c r="G88" s="5"/>
      <c r="H88" s="5"/>
    </row>
    <row r="89" spans="1:8" s="3" customFormat="1" ht="11.4" customHeight="1" x14ac:dyDescent="0.3">
      <c r="B89" s="7"/>
      <c r="C89" s="5"/>
      <c r="D89" s="5"/>
      <c r="E89" s="5"/>
      <c r="F89" s="18"/>
      <c r="G89" s="5"/>
      <c r="H89" s="5"/>
    </row>
    <row r="90" spans="1:8" ht="11.4" customHeight="1" x14ac:dyDescent="0.3">
      <c r="A90" s="4">
        <v>5310</v>
      </c>
      <c r="B90" s="4" t="s">
        <v>57</v>
      </c>
      <c r="F90" s="5">
        <v>2340</v>
      </c>
    </row>
    <row r="91" spans="1:8" s="3" customFormat="1" ht="11.4" customHeight="1" x14ac:dyDescent="0.3">
      <c r="B91" s="7" t="s">
        <v>41</v>
      </c>
      <c r="C91" s="5"/>
      <c r="D91" s="5"/>
      <c r="E91" s="5"/>
      <c r="F91" s="18">
        <f>SUM(F90:F90)</f>
        <v>2340</v>
      </c>
      <c r="G91" s="5"/>
      <c r="H91" s="5"/>
    </row>
    <row r="92" spans="1:8" s="3" customFormat="1" ht="11.4" customHeight="1" x14ac:dyDescent="0.3">
      <c r="B92" s="7"/>
      <c r="C92" s="5"/>
      <c r="D92" s="5"/>
      <c r="E92" s="5"/>
      <c r="F92" s="14"/>
      <c r="G92" s="5"/>
      <c r="H92" s="5"/>
    </row>
    <row r="93" spans="1:8" s="3" customFormat="1" ht="11.4" customHeight="1" x14ac:dyDescent="0.3">
      <c r="B93" s="7" t="s">
        <v>42</v>
      </c>
      <c r="C93" s="5"/>
      <c r="D93" s="5"/>
      <c r="E93" s="5"/>
      <c r="F93" s="18">
        <f>F85+F91+F88</f>
        <v>683471</v>
      </c>
      <c r="G93" s="5"/>
      <c r="H93" s="5"/>
    </row>
    <row r="94" spans="1:8" s="3" customFormat="1" ht="11.4" customHeight="1" x14ac:dyDescent="0.3">
      <c r="B94" s="7"/>
      <c r="C94" s="5"/>
      <c r="D94" s="5"/>
      <c r="E94" s="5"/>
      <c r="F94" s="14"/>
      <c r="G94" s="5"/>
      <c r="H94" s="5"/>
    </row>
    <row r="95" spans="1:8" s="3" customFormat="1" ht="11.4" customHeight="1" x14ac:dyDescent="0.3">
      <c r="B95" s="3" t="s">
        <v>43</v>
      </c>
      <c r="C95" s="5"/>
      <c r="D95" s="5"/>
      <c r="E95" s="5"/>
      <c r="F95" s="5"/>
      <c r="G95" s="5"/>
      <c r="H95" s="5"/>
    </row>
    <row r="96" spans="1:8" ht="11.4" customHeight="1" x14ac:dyDescent="0.3">
      <c r="A96" s="4">
        <v>6110</v>
      </c>
      <c r="B96" s="4" t="s">
        <v>44</v>
      </c>
      <c r="F96" s="5">
        <v>-171690</v>
      </c>
    </row>
    <row r="97" spans="1:8" ht="11.4" customHeight="1" x14ac:dyDescent="0.3">
      <c r="A97" s="4">
        <v>6130</v>
      </c>
      <c r="B97" s="4" t="s">
        <v>74</v>
      </c>
      <c r="F97" s="5">
        <v>-20150</v>
      </c>
    </row>
    <row r="98" spans="1:8" ht="11.4" customHeight="1" x14ac:dyDescent="0.3">
      <c r="B98" s="7" t="s">
        <v>61</v>
      </c>
      <c r="F98" s="20">
        <f>SUM(F96:F97)</f>
        <v>-191840</v>
      </c>
    </row>
    <row r="99" spans="1:8" ht="11.4" customHeight="1" x14ac:dyDescent="0.3"/>
    <row r="100" spans="1:8" ht="11.4" customHeight="1" x14ac:dyDescent="0.3">
      <c r="A100" s="4">
        <v>6220</v>
      </c>
      <c r="B100" s="4" t="s">
        <v>45</v>
      </c>
      <c r="F100" s="5">
        <v>-97797</v>
      </c>
    </row>
    <row r="101" spans="1:8" ht="11.4" customHeight="1" x14ac:dyDescent="0.3">
      <c r="A101" s="4">
        <v>6230</v>
      </c>
      <c r="B101" s="4" t="s">
        <v>46</v>
      </c>
      <c r="F101" s="5">
        <v>24293</v>
      </c>
    </row>
    <row r="102" spans="1:8" ht="11.4" customHeight="1" x14ac:dyDescent="0.3">
      <c r="A102" s="4">
        <v>6240</v>
      </c>
      <c r="B102" s="4" t="s">
        <v>47</v>
      </c>
      <c r="F102" s="5">
        <v>72916</v>
      </c>
    </row>
    <row r="103" spans="1:8" s="3" customFormat="1" ht="11.4" customHeight="1" x14ac:dyDescent="0.3">
      <c r="B103" s="7" t="s">
        <v>62</v>
      </c>
      <c r="C103" s="5"/>
      <c r="D103" s="5"/>
      <c r="E103" s="5"/>
      <c r="F103" s="18">
        <f>SUM(F100:F102)</f>
        <v>-588</v>
      </c>
      <c r="G103" s="5"/>
      <c r="H103" s="5"/>
    </row>
    <row r="104" spans="1:8" s="3" customFormat="1" ht="11.4" customHeight="1" x14ac:dyDescent="0.3">
      <c r="C104" s="5"/>
      <c r="D104" s="5"/>
      <c r="E104" s="5"/>
      <c r="F104" s="5"/>
      <c r="G104" s="5"/>
      <c r="H104" s="5"/>
    </row>
    <row r="105" spans="1:8" ht="11.4" customHeight="1" x14ac:dyDescent="0.3">
      <c r="A105" s="4">
        <v>6910</v>
      </c>
      <c r="B105" s="4" t="s">
        <v>48</v>
      </c>
      <c r="F105" s="5">
        <v>-480450</v>
      </c>
    </row>
    <row r="106" spans="1:8" ht="11.4" customHeight="1" x14ac:dyDescent="0.3">
      <c r="A106" s="4">
        <v>6920</v>
      </c>
      <c r="B106" s="4" t="s">
        <v>49</v>
      </c>
      <c r="F106" s="5">
        <v>-10593</v>
      </c>
    </row>
    <row r="107" spans="1:8" s="3" customFormat="1" ht="11.4" customHeight="1" x14ac:dyDescent="0.3">
      <c r="B107" s="7" t="s">
        <v>50</v>
      </c>
      <c r="C107" s="5"/>
      <c r="D107" s="5"/>
      <c r="E107" s="5"/>
      <c r="F107" s="18">
        <f>SUM(F105:F106)</f>
        <v>-491043</v>
      </c>
      <c r="G107" s="5"/>
      <c r="H107" s="8"/>
    </row>
    <row r="108" spans="1:8" s="3" customFormat="1" ht="11.4" customHeight="1" x14ac:dyDescent="0.3">
      <c r="B108" s="7"/>
      <c r="C108" s="5"/>
      <c r="D108" s="5"/>
      <c r="E108" s="5"/>
      <c r="F108" s="14"/>
      <c r="G108" s="5"/>
      <c r="H108" s="8"/>
    </row>
    <row r="109" spans="1:8" s="3" customFormat="1" ht="11.4" customHeight="1" x14ac:dyDescent="0.3">
      <c r="B109" s="7" t="s">
        <v>51</v>
      </c>
      <c r="C109" s="5"/>
      <c r="D109" s="5"/>
      <c r="E109" s="5"/>
      <c r="F109" s="18">
        <f>F107+F103+F98</f>
        <v>-683471</v>
      </c>
      <c r="G109" s="5"/>
      <c r="H109" s="8"/>
    </row>
    <row r="110" spans="1:8" s="3" customFormat="1" ht="11.4" customHeight="1" x14ac:dyDescent="0.3">
      <c r="B110" s="7"/>
      <c r="C110" s="5"/>
      <c r="D110" s="8"/>
      <c r="E110" s="8"/>
      <c r="F110" s="8"/>
      <c r="G110" s="8"/>
      <c r="H110" s="8"/>
    </row>
    <row r="111" spans="1:8" s="3" customFormat="1" ht="11.4" customHeight="1" x14ac:dyDescent="0.3">
      <c r="B111" s="7"/>
      <c r="C111" s="5"/>
      <c r="D111" s="8"/>
      <c r="E111" s="8"/>
      <c r="F111" s="8"/>
      <c r="G111" s="8"/>
      <c r="H111" s="8"/>
    </row>
    <row r="112" spans="1:8" s="3" customFormat="1" ht="11.4" customHeight="1" x14ac:dyDescent="0.3">
      <c r="B112" s="7"/>
      <c r="C112" s="5"/>
      <c r="D112" s="8"/>
      <c r="E112" s="8"/>
      <c r="F112" s="8"/>
      <c r="G112" s="8"/>
      <c r="H112" s="8"/>
    </row>
    <row r="113" spans="2:8" s="3" customFormat="1" ht="11.4" customHeight="1" x14ac:dyDescent="0.3">
      <c r="B113" s="7"/>
      <c r="C113" s="5"/>
      <c r="D113" s="8"/>
      <c r="E113" s="8"/>
      <c r="F113" s="8"/>
      <c r="G113" s="8"/>
      <c r="H113" s="8"/>
    </row>
    <row r="114" spans="2:8" s="3" customFormat="1" ht="11.4" customHeight="1" x14ac:dyDescent="0.3">
      <c r="B114" s="7"/>
      <c r="C114" s="5"/>
      <c r="D114" s="8"/>
      <c r="E114" s="8"/>
      <c r="F114" s="8"/>
      <c r="G114" s="8"/>
      <c r="H114" s="8"/>
    </row>
    <row r="115" spans="2:8" s="3" customFormat="1" ht="11.4" customHeight="1" x14ac:dyDescent="0.3">
      <c r="B115" s="7"/>
      <c r="C115" s="5"/>
      <c r="D115" s="8"/>
      <c r="E115" s="8"/>
      <c r="F115" s="8"/>
      <c r="G115" s="8"/>
      <c r="H115" s="8"/>
    </row>
    <row r="116" spans="2:8" ht="15" customHeight="1" x14ac:dyDescent="0.3">
      <c r="F116" s="4"/>
    </row>
    <row r="117" spans="2:8" ht="15" customHeight="1" x14ac:dyDescent="0.3">
      <c r="F117" s="6"/>
    </row>
    <row r="118" spans="2:8" ht="11.4" customHeight="1" x14ac:dyDescent="0.3">
      <c r="B118" s="4" t="s">
        <v>79</v>
      </c>
      <c r="C118" s="9"/>
      <c r="D118" s="9"/>
      <c r="F118" s="12"/>
      <c r="G118" s="9"/>
    </row>
    <row r="119" spans="2:8" ht="11.4" customHeight="1" x14ac:dyDescent="0.3">
      <c r="C119" s="4" t="s">
        <v>55</v>
      </c>
      <c r="F119" s="6" t="s">
        <v>54</v>
      </c>
    </row>
    <row r="120" spans="2:8" ht="11.4" customHeight="1" x14ac:dyDescent="0.3">
      <c r="B120" s="10"/>
      <c r="C120" s="4" t="s">
        <v>56</v>
      </c>
      <c r="E120" s="11"/>
      <c r="F120" s="5" t="s">
        <v>66</v>
      </c>
    </row>
    <row r="121" spans="2:8" ht="11.4" customHeight="1" x14ac:dyDescent="0.3"/>
    <row r="122" spans="2:8" ht="11.4" customHeight="1" x14ac:dyDescent="0.3"/>
    <row r="123" spans="2:8" ht="11.4" customHeight="1" x14ac:dyDescent="0.3"/>
    <row r="124" spans="2:8" ht="11.4" customHeight="1" x14ac:dyDescent="0.3"/>
    <row r="125" spans="2:8" ht="11.4" customHeight="1" x14ac:dyDescent="0.3"/>
    <row r="126" spans="2:8" ht="11.4" customHeight="1" x14ac:dyDescent="0.3"/>
    <row r="127" spans="2:8" ht="11.4" customHeight="1" x14ac:dyDescent="0.3"/>
    <row r="128" spans="2:8" ht="11.4" customHeight="1" x14ac:dyDescent="0.3"/>
    <row r="129" ht="11.4" customHeight="1" x14ac:dyDescent="0.3"/>
    <row r="130" ht="11.4" customHeight="1" x14ac:dyDescent="0.3"/>
    <row r="131" ht="11.4" customHeight="1" x14ac:dyDescent="0.3"/>
    <row r="132" ht="11.4" customHeight="1" x14ac:dyDescent="0.3"/>
  </sheetData>
  <mergeCells count="1">
    <mergeCell ref="A7:B7"/>
  </mergeCells>
  <pageMargins left="0" right="0" top="0.19685039370078741" bottom="0" header="0" footer="0"/>
  <pageSetup paperSize="9" orientation="portrait" r:id="rId1"/>
  <rowBreaks count="1" manualBreakCount="1"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 (11)</vt:lpstr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</dc:creator>
  <cp:lastModifiedBy>Allan</cp:lastModifiedBy>
  <cp:lastPrinted>2020-02-01T10:01:43Z</cp:lastPrinted>
  <dcterms:created xsi:type="dcterms:W3CDTF">2014-01-26T20:57:25Z</dcterms:created>
  <dcterms:modified xsi:type="dcterms:W3CDTF">2020-02-01T10:02:59Z</dcterms:modified>
</cp:coreProperties>
</file>